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avbgs-my.sharepoint.com/personal/christoph_schnurr_dav-rosenheim_de/Documents/Vorlagen/TA/"/>
    </mc:Choice>
  </mc:AlternateContent>
  <xr:revisionPtr revIDLastSave="0" documentId="8_{79D9DA98-A68B-4596-A8D1-305E12EFB778}" xr6:coauthVersionLast="47" xr6:coauthVersionMax="47" xr10:uidLastSave="{00000000-0000-0000-0000-000000000000}"/>
  <bookViews>
    <workbookView xWindow="-120" yWindow="-120" windowWidth="29040" windowHeight="17520" tabRatio="459" xr2:uid="{00000000-000D-0000-FFFF-FFFF00000000}"/>
  </bookViews>
  <sheets>
    <sheet name="Tourenabrechnung" sheetId="1" r:id="rId1"/>
    <sheet name="Tabelle1" sheetId="2" r:id="rId2"/>
  </sheets>
  <definedNames>
    <definedName name="_xlnm.Print_Area" localSheetId="0">Tourenabrechnung!$A$1:$M$79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Q41" i="1"/>
  <c r="Q42" i="1"/>
  <c r="Q40" i="1"/>
  <c r="L73" i="1" l="1"/>
  <c r="L68" i="1"/>
  <c r="L70" i="1"/>
  <c r="K40" i="1" l="1"/>
  <c r="K41" i="1"/>
  <c r="J30" i="1" l="1"/>
  <c r="F66" i="1"/>
  <c r="L66" i="1" s="1"/>
  <c r="B2" i="1"/>
  <c r="L75" i="1" l="1"/>
  <c r="F75" i="1" s="1"/>
  <c r="L16" i="1"/>
  <c r="T17" i="1"/>
  <c r="J33" i="1"/>
  <c r="I27" i="1"/>
  <c r="I23" i="1"/>
  <c r="L17" i="1"/>
  <c r="L18" i="1"/>
  <c r="L19" i="1"/>
  <c r="L20" i="1"/>
  <c r="L21" i="1"/>
  <c r="F76" i="1" l="1"/>
  <c r="F78" i="1" s="1"/>
  <c r="K42" i="1" s="1"/>
  <c r="L42" i="1" s="1"/>
  <c r="T16" i="1"/>
  <c r="J36" i="1"/>
  <c r="J35" i="1"/>
  <c r="J34" i="1"/>
  <c r="N13" i="1" l="1"/>
  <c r="P15" i="1" l="1"/>
  <c r="O15" i="1"/>
  <c r="O13" i="1"/>
  <c r="P13" i="1"/>
  <c r="Q13" i="1"/>
  <c r="K48" i="1"/>
  <c r="P24" i="1" l="1"/>
  <c r="P27" i="1"/>
  <c r="P26" i="1"/>
  <c r="P25" i="1"/>
  <c r="O27" i="1"/>
  <c r="O18" i="1"/>
  <c r="O26" i="1"/>
  <c r="O24" i="1"/>
  <c r="O25" i="1"/>
  <c r="P18" i="1"/>
  <c r="P19" i="1"/>
  <c r="P20" i="1"/>
  <c r="O20" i="1"/>
  <c r="O19" i="1"/>
  <c r="O17" i="1"/>
  <c r="P17" i="1"/>
  <c r="C30" i="1"/>
  <c r="C34" i="1"/>
  <c r="K34" i="1" s="1"/>
  <c r="C33" i="1"/>
  <c r="K33" i="1" s="1"/>
  <c r="O21" i="1" l="1"/>
  <c r="P21" i="1"/>
  <c r="C36" i="1" s="1"/>
  <c r="D34" i="1"/>
  <c r="L30" i="1"/>
  <c r="K49" i="1"/>
  <c r="L50" i="1" s="1"/>
  <c r="O29" i="1"/>
  <c r="P29" i="1"/>
  <c r="K36" i="1" l="1"/>
  <c r="D36" i="1" s="1"/>
  <c r="C35" i="1"/>
  <c r="K35" i="1" s="1"/>
  <c r="L36" i="1" l="1"/>
  <c r="L52" i="1" s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tc={A2459680-670A-42BA-A326-41F969BA7BFB}</author>
    <author/>
    <author>Josef</author>
    <author>Schnurr</author>
    <author>tc={454C7AB7-0925-4CE2-8377-5EA7E18DEC9F}</author>
  </authors>
  <commentList>
    <comment ref="N1" authorId="0" shapeId="0" xr:uid="{A2459680-670A-42BA-A326-41F969BA7BF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Erhöhte Tagessätze</t>
      </text>
    </comment>
    <comment ref="H4" authorId="1" shapeId="0" xr:uid="{00000000-0006-0000-0000-000001000000}">
      <text>
        <r>
          <rPr>
            <b/>
            <sz val="8"/>
            <color indexed="8"/>
            <rFont val="Times New Roman"/>
            <family val="1"/>
          </rPr>
          <t>Tour oder Kurs auswählen</t>
        </r>
      </text>
    </comment>
    <comment ref="H7" authorId="2" shapeId="0" xr:uid="{00000000-0006-0000-0000-000002000000}">
      <text>
        <r>
          <rPr>
            <b/>
            <sz val="8"/>
            <color indexed="81"/>
            <rFont val="Times New Roman"/>
            <family val="1"/>
          </rPr>
          <t>Staat auswählen; 
bei Tagestouren immer Deutschland verwenden;</t>
        </r>
      </text>
    </comment>
    <comment ref="H9" authorId="3" shapeId="0" xr:uid="{D46D2223-71A4-48F5-849F-6FFE96EB3663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tt.mm.jjjj</t>
        </r>
      </text>
    </comment>
    <comment ref="H10" authorId="3" shapeId="0" xr:uid="{96961298-31A7-467D-93FB-C268D0FD6501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tt.mm.jjjj</t>
        </r>
      </text>
    </comment>
    <comment ref="H12" authorId="3" shapeId="0" xr:uid="{55514D97-DA0D-4DB0-AA4F-9A7996C2486F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Anzahl Teilnehmer ohne Leiter</t>
        </r>
      </text>
    </comment>
    <comment ref="G15" authorId="3" shapeId="0" xr:uid="{4A97F38C-DE54-4AE4-B91E-3DD6A496D9EF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Anzahl pro Person</t>
        </r>
      </text>
    </comment>
    <comment ref="C17" authorId="3" shapeId="0" xr:uid="{8A2CF98D-BC29-43F2-BA46-17E98D6A1286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Plug-In Hybrid bei Kurzstrecke &lt; 50 km</t>
        </r>
      </text>
    </comment>
    <comment ref="G25" authorId="3" shapeId="0" xr:uid="{DE22697A-44A9-437E-86D7-B86B662CE16B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auf der Hütte, im Restaurant gekaufte Mahlzeiten pro Person; NICHT pro Gruppe</t>
        </r>
      </text>
    </comment>
    <comment ref="C39" authorId="3" shapeId="0" xr:uid="{24FD8D85-0855-4B40-A70D-724255698E99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Bitte immer die KM für Hin- und Rückfahrt angeben!</t>
        </r>
      </text>
    </comment>
    <comment ref="I48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>Anzahl der Tage für Seilgeld</t>
        </r>
      </text>
    </comment>
    <comment ref="G51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Anmerkungen</t>
        </r>
      </text>
    </comment>
    <comment ref="L53" authorId="3" shapeId="0" xr:uid="{796D5698-FC19-4FB6-B9F9-9D359E7572DF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Arbeitnehmerbescheinigung nach § 3 Nr. 26 EStG 
über Aufwandsentschädigungen für nebenberufliche Tätigkeiten als Übungsleiter, Erzieher oder für eine vergleichbare nebenberufliche Tätigkeit für den als gemeinnützig anerkannten Arbeitgeber "Sektion Rosenheim des DAV".</t>
        </r>
      </text>
    </comment>
    <comment ref="D64" authorId="4" shapeId="0" xr:uid="{454C7AB7-0925-4CE2-8377-5EA7E18DEC9F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Berechnungstool für Kleinbus ergänzt
</t>
      </text>
    </comment>
    <comment ref="F66" authorId="3" shapeId="0" xr:uid="{53B7E480-A7E1-4468-ADE2-0B2E7D4D5773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auto eder 96 + 15 (Versicherung) pro Tag</t>
        </r>
      </text>
    </comment>
    <comment ref="F67" authorId="3" shapeId="0" xr:uid="{DF0D8D36-5519-4C48-9D74-6167DCC45B34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AutoEder und Freilinger 300
</t>
        </r>
      </text>
    </comment>
    <comment ref="F70" authorId="3" shapeId="0" xr:uid="{7A4E4CFA-141E-43F1-B906-A00AB0798A2C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Auswahlmöglichkeit entw. Rechnung oder Abschätzung
</t>
        </r>
      </text>
    </comment>
    <comment ref="L70" authorId="3" shapeId="0" xr:uid="{44F854D1-8709-4295-9D0F-02D62DAB7F98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wenn Tankrechnung vorliegt, dann wird diese übernommen, sonst Abschätzung
</t>
        </r>
      </text>
    </comment>
    <comment ref="F71" authorId="3" shapeId="0" xr:uid="{7F549097-19D0-4379-9FB5-A07EC2F691E3}">
      <text>
        <r>
          <rPr>
            <b/>
            <sz val="9"/>
            <color indexed="81"/>
            <rFont val="Segoe UI"/>
            <charset val="1"/>
          </rPr>
          <t>Schnurr:</t>
        </r>
        <r>
          <rPr>
            <sz val="9"/>
            <color indexed="81"/>
            <rFont val="Segoe UI"/>
            <charset val="1"/>
          </rPr>
          <t xml:space="preserve">
Erfahrungswert der Vornutzer</t>
        </r>
      </text>
    </comment>
    <comment ref="F72" authorId="3" shapeId="0" xr:uid="{3681017C-A1EA-4FB5-A67F-AE7DBA969A26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Auswahlmöglichkeit entw. Rechnung oder Abschätzung</t>
        </r>
      </text>
    </comment>
    <comment ref="F76" authorId="3" shapeId="0" xr:uid="{4E4194FC-1B26-4DC3-9279-C06DCEF78367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Wird beim Kleinbus als Kostenerstattung für dich übernommen!
</t>
        </r>
      </text>
    </comment>
    <comment ref="F78" authorId="3" shapeId="0" xr:uid="{86C144C9-8658-4B2D-93CC-E947A04623C0}">
      <text>
        <r>
          <rPr>
            <b/>
            <sz val="9"/>
            <color indexed="81"/>
            <rFont val="Segoe UI"/>
            <charset val="1"/>
          </rPr>
          <t>Schnurr:</t>
        </r>
        <r>
          <rPr>
            <sz val="9"/>
            <color indexed="81"/>
            <rFont val="Segoe UI"/>
            <charset val="1"/>
          </rPr>
          <t xml:space="preserve">
Bitte den Betrag an die Sektion überweisen
IBAN DE96 7115 0000 0000 0216 59
Der Rest verbleibt als Kostenerstattung für Benzin und sonst. Auslagen bei Dir.</t>
        </r>
      </text>
    </comment>
  </commentList>
</comments>
</file>

<file path=xl/sharedStrings.xml><?xml version="1.0" encoding="utf-8"?>
<sst xmlns="http://schemas.openxmlformats.org/spreadsheetml/2006/main" count="162" uniqueCount="138">
  <si>
    <t>Österreich</t>
  </si>
  <si>
    <t>Schweiz</t>
  </si>
  <si>
    <t>Tagestouren haben immer den Deutschen Satz Deutschland</t>
  </si>
  <si>
    <t>Frankreich</t>
  </si>
  <si>
    <t>Italien</t>
  </si>
  <si>
    <t>Norwegen</t>
  </si>
  <si>
    <t>Slowenien</t>
  </si>
  <si>
    <t>FAQ:</t>
  </si>
  <si>
    <t>Art d. Veranst.:</t>
  </si>
  <si>
    <t>Hallenkletterkurs</t>
  </si>
  <si>
    <t>Nur Datum der ersten Veranstaltung eingeben sowie Kilometer</t>
  </si>
  <si>
    <t>Ziel / Titel:</t>
  </si>
  <si>
    <t>Abgrenzung:</t>
  </si>
  <si>
    <t>Leiter:</t>
  </si>
  <si>
    <t>Wandern</t>
  </si>
  <si>
    <t>gem. Programmheft, bis w2 = Wandern</t>
  </si>
  <si>
    <t>Veranstaltungsland:</t>
  </si>
  <si>
    <t>Bergsteigen</t>
  </si>
  <si>
    <t>ab w3 = Bergsteigen und/oder leichte Kletterei bis II-III</t>
  </si>
  <si>
    <t>Hochtour (Sommer)</t>
  </si>
  <si>
    <t>ab Gletscherbegehung</t>
  </si>
  <si>
    <t>Abreise am:</t>
  </si>
  <si>
    <t>Uhrzeit:</t>
  </si>
  <si>
    <t>Skitour</t>
  </si>
  <si>
    <t>gem. Programmheft S1-S3 ohne Hochtourenausrüstung</t>
  </si>
  <si>
    <t>Rückkehr am:</t>
  </si>
  <si>
    <t>Skihochtour</t>
  </si>
  <si>
    <t>gem. Programmheft S1-S3 Hochtourenausrüstung notwendig (Gletscherbegehung)</t>
  </si>
  <si>
    <t xml:space="preserve">Anzahl der Teilnehmer: </t>
  </si>
  <si>
    <t>Mobilität An- und Abreise</t>
  </si>
  <si>
    <t>Übernachtungen</t>
  </si>
  <si>
    <t>Anz.</t>
  </si>
  <si>
    <t>Anz. Nächte</t>
  </si>
  <si>
    <t xml:space="preserve">PKW </t>
  </si>
  <si>
    <t>Biwak</t>
  </si>
  <si>
    <t>Elektro Pkw</t>
  </si>
  <si>
    <t>DAV-Hütte</t>
  </si>
  <si>
    <t>Kleinbus/9-Sitzer</t>
  </si>
  <si>
    <t>Hütte nicht DAV</t>
  </si>
  <si>
    <t>Bergbus</t>
  </si>
  <si>
    <t>Hotel/Hostel (0-2 Sterne, FeWo)</t>
  </si>
  <si>
    <t>Fahrrad</t>
  </si>
  <si>
    <t>Hotel Mittelklasse (3-4 Sterne, gehobene FeWo)</t>
  </si>
  <si>
    <t>ÖPNV</t>
  </si>
  <si>
    <t>Hotel Premium (5 Sterne)</t>
  </si>
  <si>
    <t>Fernverkehr/Zug</t>
  </si>
  <si>
    <t>Reisebus</t>
  </si>
  <si>
    <t xml:space="preserve">Öffentliche Anreise: </t>
  </si>
  <si>
    <t>Verpflegung</t>
  </si>
  <si>
    <t>opt. Angabe</t>
  </si>
  <si>
    <t>Anteilig</t>
  </si>
  <si>
    <t>% vegan</t>
  </si>
  <si>
    <t>% vegetarisch</t>
  </si>
  <si>
    <t>% mit Fleisch</t>
  </si>
  <si>
    <t>Auslagenersatz</t>
  </si>
  <si>
    <t xml:space="preserve">Uhrzeit </t>
  </si>
  <si>
    <t>mit Doppelpunkt, z. B. 8:00</t>
  </si>
  <si>
    <t>Tagessatz</t>
  </si>
  <si>
    <t>a €:</t>
  </si>
  <si>
    <t>Übernachtungspauschale</t>
  </si>
  <si>
    <t>mehr als 24 Stunden</t>
  </si>
  <si>
    <t>Verpflegungsaufwand</t>
  </si>
  <si>
    <t>Bei Tagestouren wird immer der Satz für Deutschland verwedet</t>
  </si>
  <si>
    <t>mehr als 8 Stunden</t>
  </si>
  <si>
    <t>14:00 bis 23:59</t>
  </si>
  <si>
    <t>8 bis 13:59</t>
  </si>
  <si>
    <t>am gleichen Tag</t>
  </si>
  <si>
    <t>am nächsten Tag</t>
  </si>
  <si>
    <t>Anfang</t>
  </si>
  <si>
    <t>Ende</t>
  </si>
  <si>
    <t>km</t>
  </si>
  <si>
    <t>mehr als 2 Tage</t>
  </si>
  <si>
    <t>Summe</t>
  </si>
  <si>
    <t>Barauslagen</t>
  </si>
  <si>
    <t>Bei Barauslagen bitte Belege beifügen</t>
  </si>
  <si>
    <t>Organisationskosten</t>
  </si>
  <si>
    <t>Liftkarten</t>
  </si>
  <si>
    <t>Rucksacktransport</t>
  </si>
  <si>
    <t>Beförderung zur Hütte</t>
  </si>
  <si>
    <t xml:space="preserve">Seilgeld für </t>
  </si>
  <si>
    <r>
      <rPr>
        <sz val="11"/>
        <rFont val="Tahoma"/>
        <family val="2"/>
      </rPr>
      <t>Tage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a € 5,00</t>
    </r>
  </si>
  <si>
    <t xml:space="preserve">Materialeinsatz Ausbildung </t>
  </si>
  <si>
    <t>€/Tag</t>
  </si>
  <si>
    <t>Bankverbindung</t>
  </si>
  <si>
    <t>Achtung Änderung:</t>
  </si>
  <si>
    <t>IBAN</t>
  </si>
  <si>
    <t>(22stellig)</t>
  </si>
  <si>
    <t>Die Kontodaten bitte immer angeben,</t>
  </si>
  <si>
    <t>BIC</t>
  </si>
  <si>
    <t>da die Abrechnungen über die Geschäftsstelle laufen</t>
  </si>
  <si>
    <t>Kreditinstitut</t>
  </si>
  <si>
    <t>Anz. aller Fahrzeuge</t>
  </si>
  <si>
    <t>Tag/e</t>
  </si>
  <si>
    <t>Bitte immer die KM angeben!</t>
  </si>
  <si>
    <t>D</t>
  </si>
  <si>
    <t>Teilnehmerlisten immer vor der Veranstaltung an teilnehmerlisten@dav-rosenheim.de schicken!</t>
  </si>
  <si>
    <t>Auslastungszuschlag</t>
  </si>
  <si>
    <t xml:space="preserve">Barauslagen </t>
  </si>
  <si>
    <t>(z. B. öffentl. Anreise)</t>
  </si>
  <si>
    <t>KM-Geld</t>
  </si>
  <si>
    <t>Bis 150 Km 0,15 €; bis 200 Km 0,1 €; mehr als 200 Km 0,05 €</t>
  </si>
  <si>
    <t>Verpflegungsmehraufw.</t>
  </si>
  <si>
    <t>Erfassung Gesamtkilometer für Fahrzeuge aller Art (immer ausfüllen!)</t>
  </si>
  <si>
    <t>Art der Veranstaltung</t>
  </si>
  <si>
    <t>#auswählen#</t>
  </si>
  <si>
    <t>Abendkurs</t>
  </si>
  <si>
    <t>Ausbildung</t>
  </si>
  <si>
    <t>Hochtour</t>
  </si>
  <si>
    <t>Klettern</t>
  </si>
  <si>
    <t>Klettersteig</t>
  </si>
  <si>
    <t>Mountainbike</t>
  </si>
  <si>
    <t>Reisekosten</t>
  </si>
  <si>
    <t>Schneeschuh</t>
  </si>
  <si>
    <t>Hiermit bestätige ich die Richtigkeit der Angaben sowie die Einhaltung der Aufwandspauschale gem. ANbescheinigung.</t>
  </si>
  <si>
    <t xml:space="preserve">Anzahl servierter Mahlzeiten pro Person </t>
  </si>
  <si>
    <t>Kosten je TN</t>
  </si>
  <si>
    <t>Preis Benzin/Diesel</t>
  </si>
  <si>
    <t>Gesamtkosten Bus</t>
  </si>
  <si>
    <t>Verbrauch l/100 Km</t>
  </si>
  <si>
    <t>Einmalkosten z. B. Parkgebühr</t>
  </si>
  <si>
    <t>Berechnung Kleinbus AutoEder</t>
  </si>
  <si>
    <t>oder An/Abreise bei mehrtägiger Abwesenheit</t>
  </si>
  <si>
    <t>Überweisung an Sektion</t>
  </si>
  <si>
    <t>Tankkosten gem. Rechn.</t>
  </si>
  <si>
    <t>Leihgebühr pro Tag inkl. Versicherung</t>
  </si>
  <si>
    <t>Freikilometer pro Tag</t>
  </si>
  <si>
    <t>Zuschlag falls Freikm n. ausreichen</t>
  </si>
  <si>
    <t>Erstattung Sektion Leihfahrzeug</t>
  </si>
  <si>
    <t xml:space="preserve">     Leihkosten abzgl. Sektionsunterstützung</t>
  </si>
  <si>
    <t xml:space="preserve">     Aufschlag falls Freikilometer nicht ausreichen</t>
  </si>
  <si>
    <t xml:space="preserve">     sonst. Kosten</t>
  </si>
  <si>
    <t xml:space="preserve">      Kontrollrechnung</t>
  </si>
  <si>
    <t>Aufwandspauschale</t>
  </si>
  <si>
    <t xml:space="preserve">     Benzinkosten</t>
  </si>
  <si>
    <t>Änderungen Version 250101</t>
  </si>
  <si>
    <t>, 200</t>
  </si>
  <si>
    <t xml:space="preserve"> - Addition der KM-Beträge für 150, 200 und mehr km</t>
  </si>
  <si>
    <t>Version: 250101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</si>
</sst>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&quot; €&quot;_-;\-* #,##0.00&quot; €&quot;_-;_-* \-??&quot; €&quot;_-;_-@_-"/>
    <numFmt numFmtId="166" formatCode="0&quot; Tag (e)&quot;"/>
    <numFmt numFmtId="167" formatCode="0.000"/>
    <numFmt numFmtId="168" formatCode="_-* #,##0.00\ [$€-407]_-;\-* #,##0.00\ [$€-407]_-;_-* &quot;-&quot;??\ [$€-407]_-;_-@_-"/>
  </numFmts>
  <fonts count="24">
    <font>
      <sz val="11"/>
      <name val="Sparkasse Rg"/>
    </font>
    <font>
      <sz val="10"/>
      <name val="MS Sans Serif"/>
      <family val="2"/>
    </font>
    <font>
      <sz val="11"/>
      <name val="Tahoma"/>
      <family val="2"/>
    </font>
    <font>
      <sz val="18"/>
      <name val="Tahoma"/>
      <family val="2"/>
    </font>
    <font>
      <b/>
      <sz val="11"/>
      <name val="Tahoma"/>
      <family val="2"/>
    </font>
    <font>
      <b/>
      <sz val="8"/>
      <color indexed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sz val="8"/>
      <name val="MS Sans Serif"/>
      <family val="2"/>
    </font>
    <font>
      <sz val="8"/>
      <name val="Sparkasse Rg"/>
    </font>
    <font>
      <sz val="9"/>
      <name val="Tahoma"/>
      <family val="2"/>
    </font>
    <font>
      <sz val="11"/>
      <name val="Sparkasse Rg"/>
    </font>
    <font>
      <sz val="10"/>
      <name val="Tahoma"/>
      <family val="2"/>
    </font>
    <font>
      <b/>
      <sz val="8"/>
      <color indexed="81"/>
      <name val="Times New Roman"/>
      <family val="1"/>
    </font>
    <font>
      <b/>
      <sz val="12"/>
      <name val="Tahoma"/>
      <family val="2"/>
    </font>
    <font>
      <sz val="11"/>
      <color theme="0"/>
      <name val="Sparkasse Rg"/>
    </font>
    <font>
      <strike/>
      <sz val="11"/>
      <name val="Tahoma"/>
      <family val="2"/>
    </font>
    <font>
      <sz val="11"/>
      <color rgb="FFFF0000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Tahoma"/>
      <family val="2"/>
    </font>
    <font>
      <b/>
      <sz val="8"/>
      <color rgb="FFFF0000"/>
      <name val="Tahoma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165" fontId="11" fillId="0" borderId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83">
    <xf numFmtId="0" fontId="0" fillId="0" borderId="0" xfId="0"/>
    <xf numFmtId="165" fontId="2" fillId="0" borderId="0" xfId="1" applyFont="1" applyFill="1" applyBorder="1" applyAlignment="1" applyProtection="1"/>
    <xf numFmtId="165" fontId="4" fillId="0" borderId="0" xfId="1" applyFont="1" applyFill="1" applyBorder="1" applyAlignment="1" applyProtection="1"/>
    <xf numFmtId="14" fontId="2" fillId="7" borderId="0" xfId="0" applyNumberFormat="1" applyFont="1" applyFill="1" applyProtection="1">
      <protection locked="0"/>
    </xf>
    <xf numFmtId="165" fontId="4" fillId="0" borderId="2" xfId="1" applyFont="1" applyFill="1" applyBorder="1" applyAlignment="1" applyProtection="1"/>
    <xf numFmtId="1" fontId="2" fillId="7" borderId="0" xfId="0" applyNumberFormat="1" applyFont="1" applyFill="1" applyAlignment="1" applyProtection="1">
      <alignment horizontal="center"/>
      <protection locked="0"/>
    </xf>
    <xf numFmtId="20" fontId="2" fillId="7" borderId="0" xfId="0" applyNumberFormat="1" applyFont="1" applyFill="1" applyProtection="1">
      <protection locked="0"/>
    </xf>
    <xf numFmtId="0" fontId="2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2" fillId="7" borderId="0" xfId="0" applyFont="1" applyFill="1" applyAlignment="1" applyProtection="1">
      <alignment horizontal="left"/>
      <protection locked="0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5" borderId="0" xfId="0" applyFont="1" applyFill="1"/>
    <xf numFmtId="0" fontId="2" fillId="5" borderId="0" xfId="0" applyFont="1" applyFill="1"/>
    <xf numFmtId="14" fontId="2" fillId="5" borderId="0" xfId="0" applyNumberFormat="1" applyFont="1" applyFill="1"/>
    <xf numFmtId="20" fontId="2" fillId="5" borderId="0" xfId="0" applyNumberFormat="1" applyFont="1" applyFill="1"/>
    <xf numFmtId="14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/>
    <xf numFmtId="14" fontId="4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2" fillId="0" borderId="0" xfId="0" applyFont="1" applyAlignment="1">
      <alignment horizontal="right"/>
    </xf>
    <xf numFmtId="0" fontId="17" fillId="0" borderId="0" xfId="0" applyFont="1"/>
    <xf numFmtId="0" fontId="4" fillId="2" borderId="0" xfId="0" applyFont="1" applyFill="1"/>
    <xf numFmtId="0" fontId="10" fillId="0" borderId="0" xfId="0" applyFont="1" applyAlignment="1">
      <alignment vertical="top" wrapText="1"/>
    </xf>
    <xf numFmtId="2" fontId="2" fillId="0" borderId="0" xfId="0" applyNumberFormat="1" applyFont="1"/>
    <xf numFmtId="164" fontId="2" fillId="0" borderId="0" xfId="0" applyNumberFormat="1" applyFont="1"/>
    <xf numFmtId="166" fontId="15" fillId="0" borderId="0" xfId="0" applyNumberFormat="1" applyFont="1"/>
    <xf numFmtId="166" fontId="0" fillId="0" borderId="0" xfId="0" applyNumberFormat="1"/>
    <xf numFmtId="0" fontId="2" fillId="6" borderId="0" xfId="0" applyFont="1" applyFill="1"/>
    <xf numFmtId="0" fontId="2" fillId="5" borderId="0" xfId="0" applyFont="1" applyFill="1" applyAlignment="1">
      <alignment horizontal="right"/>
    </xf>
    <xf numFmtId="0" fontId="7" fillId="2" borderId="0" xfId="0" applyFont="1" applyFill="1"/>
    <xf numFmtId="1" fontId="7" fillId="3" borderId="0" xfId="0" applyNumberFormat="1" applyFont="1" applyFill="1"/>
    <xf numFmtId="0" fontId="14" fillId="4" borderId="0" xfId="0" applyFont="1" applyFill="1"/>
    <xf numFmtId="0" fontId="2" fillId="4" borderId="0" xfId="0" applyFont="1" applyFill="1"/>
    <xf numFmtId="0" fontId="4" fillId="4" borderId="0" xfId="0" applyFont="1" applyFill="1"/>
    <xf numFmtId="0" fontId="6" fillId="2" borderId="0" xfId="0" applyFont="1" applyFill="1" applyAlignment="1">
      <alignment horizontal="left"/>
    </xf>
    <xf numFmtId="1" fontId="8" fillId="2" borderId="0" xfId="2" applyNumberFormat="1" applyFont="1" applyFill="1" applyAlignment="1">
      <alignment horizontal="left"/>
    </xf>
    <xf numFmtId="0" fontId="9" fillId="2" borderId="0" xfId="0" applyFont="1" applyFill="1"/>
    <xf numFmtId="0" fontId="3" fillId="2" borderId="0" xfId="0" applyFont="1" applyFill="1"/>
    <xf numFmtId="0" fontId="12" fillId="0" borderId="0" xfId="0" applyFont="1" applyAlignment="1">
      <alignment wrapText="1"/>
    </xf>
    <xf numFmtId="0" fontId="3" fillId="0" borderId="0" xfId="0" applyFont="1"/>
    <xf numFmtId="0" fontId="2" fillId="7" borderId="0" xfId="0" applyFont="1" applyFill="1" applyAlignment="1" applyProtection="1">
      <alignment horizontal="center"/>
      <protection locked="0"/>
    </xf>
    <xf numFmtId="165" fontId="2" fillId="0" borderId="0" xfId="1" applyFont="1" applyFill="1" applyBorder="1" applyAlignment="1" applyProtection="1">
      <protection locked="0"/>
    </xf>
    <xf numFmtId="0" fontId="16" fillId="0" borderId="0" xfId="0" applyFont="1"/>
    <xf numFmtId="0" fontId="2" fillId="7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5" fontId="2" fillId="7" borderId="0" xfId="1" applyFont="1" applyFill="1" applyBorder="1" applyAlignment="1" applyProtection="1">
      <protection locked="0"/>
    </xf>
    <xf numFmtId="0" fontId="7" fillId="5" borderId="0" xfId="0" applyFont="1" applyFill="1"/>
    <xf numFmtId="44" fontId="2" fillId="0" borderId="0" xfId="3" applyFont="1"/>
    <xf numFmtId="2" fontId="2" fillId="7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/>
    <xf numFmtId="0" fontId="10" fillId="7" borderId="0" xfId="0" applyFont="1" applyFill="1" applyAlignment="1" applyProtection="1">
      <alignment vertical="top" wrapText="1"/>
      <protection locked="0"/>
    </xf>
    <xf numFmtId="0" fontId="7" fillId="0" borderId="0" xfId="0" applyFont="1"/>
    <xf numFmtId="167" fontId="7" fillId="0" borderId="0" xfId="0" applyNumberFormat="1" applyFont="1"/>
    <xf numFmtId="0" fontId="2" fillId="0" borderId="0" xfId="0" applyFont="1" applyProtection="1">
      <protection locked="0"/>
    </xf>
    <xf numFmtId="0" fontId="21" fillId="0" borderId="0" xfId="0" applyFont="1"/>
    <xf numFmtId="44" fontId="2" fillId="0" borderId="0" xfId="0" applyNumberFormat="1" applyFont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2" fontId="2" fillId="5" borderId="0" xfId="0" applyNumberFormat="1" applyFont="1" applyFill="1"/>
    <xf numFmtId="165" fontId="2" fillId="5" borderId="0" xfId="1" applyFont="1" applyFill="1" applyBorder="1" applyAlignment="1" applyProtection="1"/>
    <xf numFmtId="165" fontId="4" fillId="5" borderId="0" xfId="1" applyFont="1" applyFill="1" applyBorder="1" applyAlignment="1" applyProtection="1"/>
    <xf numFmtId="0" fontId="2" fillId="7" borderId="0" xfId="0" applyFont="1" applyFill="1" applyAlignment="1" applyProtection="1">
      <alignment horizontal="left"/>
      <protection locked="0"/>
    </xf>
    <xf numFmtId="168" fontId="2" fillId="0" borderId="0" xfId="0" applyNumberFormat="1" applyFont="1"/>
    <xf numFmtId="168" fontId="0" fillId="0" borderId="0" xfId="0" applyNumberFormat="1"/>
    <xf numFmtId="0" fontId="2" fillId="0" borderId="0" xfId="0" applyFont="1"/>
    <xf numFmtId="0" fontId="0" fillId="0" borderId="0" xfId="0"/>
    <xf numFmtId="44" fontId="2" fillId="0" borderId="0" xfId="3" applyFont="1" applyFill="1" applyAlignment="1" applyProtection="1"/>
    <xf numFmtId="44" fontId="0" fillId="0" borderId="0" xfId="3" applyFont="1" applyFill="1" applyAlignment="1" applyProtection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44" fontId="2" fillId="7" borderId="0" xfId="3" applyFont="1" applyFill="1" applyAlignment="1" applyProtection="1">
      <protection locked="0"/>
    </xf>
    <xf numFmtId="44" fontId="0" fillId="0" borderId="0" xfId="3" applyFont="1" applyAlignment="1" applyProtection="1">
      <protection locked="0"/>
    </xf>
    <xf numFmtId="0" fontId="2" fillId="7" borderId="0" xfId="0" applyFont="1" applyFill="1" applyProtection="1">
      <protection locked="0"/>
    </xf>
    <xf numFmtId="44" fontId="2" fillId="0" borderId="0" xfId="3" applyFont="1" applyFill="1" applyAlignment="1"/>
    <xf numFmtId="44" fontId="0" fillId="0" borderId="0" xfId="3" applyFont="1" applyFill="1" applyAlignment="1"/>
    <xf numFmtId="168" fontId="2" fillId="7" borderId="0" xfId="0" applyNumberFormat="1" applyFont="1" applyFill="1" applyProtection="1">
      <protection locked="0"/>
    </xf>
    <xf numFmtId="168" fontId="0" fillId="0" borderId="0" xfId="0" applyNumberFormat="1" applyProtection="1">
      <protection locked="0"/>
    </xf>
  </cellXfs>
  <cellStyles count="4">
    <cellStyle name="Euro" xfId="1" xr:uid="{00000000-0005-0000-0000-000000000000}"/>
    <cellStyle name="Standard" xfId="0" builtinId="0"/>
    <cellStyle name="Standard_Muster" xfId="2" xr:uid="{00000000-0005-0000-0000-000002000000}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1</xdr:row>
      <xdr:rowOff>28575</xdr:rowOff>
    </xdr:from>
    <xdr:to>
      <xdr:col>11</xdr:col>
      <xdr:colOff>809625</xdr:colOff>
      <xdr:row>1</xdr:row>
      <xdr:rowOff>723900</xdr:rowOff>
    </xdr:to>
    <xdr:pic>
      <xdr:nvPicPr>
        <xdr:cNvPr id="1079" name="Grafik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09550"/>
          <a:ext cx="10668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oph Schnurr (DAV Sektion Rosenheim)" id="{0C30CD2C-992A-4BE9-81C8-D0EE987CD59A}" userId="S::christoph.schnurr@dav-rosenheim.de::2972715f-63a8-4e18-9428-a3213b07de8f" providerId="AD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4-01-23T15:33:59.67" personId="{0C30CD2C-992A-4BE9-81C8-D0EE987CD59A}" id="{A2459680-670A-42BA-A326-41F969BA7BFB}">
    <text>Erhöhte Tagessätze</text>
  </threadedComment>
  <threadedComment ref="D64" dT="2024-01-23T15:25:39.25" personId="{0C30CD2C-992A-4BE9-81C8-D0EE987CD59A}" id="{454C7AB7-0925-4CE2-8377-5EA7E18DEC9F}">
    <text xml:space="preserve">Berechnungstool für Kleinbus ergänzt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workbookViewId="0">
      <selection activeCell="H4" sqref="H4"/>
    </sheetView>
  </sheetViews>
  <sheetFormatPr baseColWidth="10" defaultColWidth="11.5" defaultRowHeight="14.25" outlineLevelRow="1" outlineLevelCol="1"/>
  <cols>
    <col min="1" max="1" width="2.125" style="10" customWidth="1"/>
    <col min="2" max="2" width="6.5" style="10" customWidth="1"/>
    <col min="3" max="3" width="7.875" style="10" customWidth="1" outlineLevel="1"/>
    <col min="4" max="4" width="7.875" style="10" bestFit="1" customWidth="1" outlineLevel="1"/>
    <col min="5" max="5" width="11" style="10" customWidth="1" outlineLevel="1"/>
    <col min="6" max="6" width="2.375" style="10" customWidth="1" outlineLevel="1"/>
    <col min="7" max="7" width="6.75" style="10" customWidth="1" outlineLevel="1"/>
    <col min="8" max="8" width="18.5" style="10" customWidth="1" outlineLevel="1"/>
    <col min="9" max="9" width="6.5" style="10" customWidth="1" outlineLevel="1"/>
    <col min="10" max="10" width="8.375" style="10" customWidth="1" outlineLevel="1"/>
    <col min="11" max="11" width="10.5" style="10" customWidth="1"/>
    <col min="12" max="12" width="13.125" style="10" bestFit="1" customWidth="1"/>
    <col min="13" max="13" width="2.75" style="10" customWidth="1"/>
    <col min="14" max="20" width="14.125" style="10" hidden="1" customWidth="1"/>
    <col min="21" max="21" width="14.125" style="10" customWidth="1"/>
    <col min="22" max="25" width="11.5" style="10" customWidth="1"/>
    <col min="26" max="16384" width="11.5" style="10"/>
  </cols>
  <sheetData>
    <row r="1" spans="1:26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6" s="45" customFormat="1" ht="59.65" customHeight="1" thickBot="1">
      <c r="A2" s="43"/>
      <c r="B2" s="23" t="str">
        <f>IF(H4="Reisekosten","Reisekostenabrechnung","Tourenabrechnung")</f>
        <v>Tourenabrechnung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43"/>
      <c r="N2" s="44" t="s">
        <v>0</v>
      </c>
      <c r="O2" s="44" t="s">
        <v>1</v>
      </c>
      <c r="P2" s="44" t="s">
        <v>2</v>
      </c>
      <c r="Q2" s="44" t="s">
        <v>3</v>
      </c>
      <c r="R2" s="44" t="s">
        <v>4</v>
      </c>
      <c r="S2" s="44" t="s">
        <v>5</v>
      </c>
      <c r="T2" s="44" t="s">
        <v>6</v>
      </c>
      <c r="U2" s="45" t="s">
        <v>7</v>
      </c>
    </row>
    <row r="3" spans="1:26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0">
        <v>50</v>
      </c>
      <c r="O3" s="10">
        <v>64</v>
      </c>
      <c r="P3" s="10">
        <v>30</v>
      </c>
      <c r="Q3" s="10">
        <v>53</v>
      </c>
      <c r="R3" s="10">
        <v>42</v>
      </c>
      <c r="S3" s="10">
        <v>80</v>
      </c>
      <c r="T3" s="10">
        <v>38</v>
      </c>
    </row>
    <row r="4" spans="1:26">
      <c r="A4" s="24"/>
      <c r="C4" s="11" t="s">
        <v>8</v>
      </c>
      <c r="H4" s="7" t="s">
        <v>104</v>
      </c>
      <c r="M4" s="24"/>
      <c r="U4" s="10" t="s">
        <v>9</v>
      </c>
      <c r="V4" s="10" t="s">
        <v>10</v>
      </c>
    </row>
    <row r="5" spans="1:26">
      <c r="A5" s="24"/>
      <c r="C5" s="11" t="s">
        <v>11</v>
      </c>
      <c r="G5"/>
      <c r="H5" s="8"/>
      <c r="I5"/>
      <c r="J5"/>
      <c r="K5"/>
      <c r="L5"/>
      <c r="M5" s="24"/>
      <c r="N5" s="10">
        <v>33</v>
      </c>
      <c r="O5" s="10">
        <v>43</v>
      </c>
      <c r="P5" s="10">
        <v>15</v>
      </c>
      <c r="Q5" s="10">
        <v>36</v>
      </c>
      <c r="R5" s="10">
        <v>28</v>
      </c>
      <c r="S5" s="10">
        <v>53</v>
      </c>
      <c r="T5" s="10">
        <v>25</v>
      </c>
      <c r="U5" s="10" t="s">
        <v>12</v>
      </c>
    </row>
    <row r="6" spans="1:26">
      <c r="A6" s="24"/>
      <c r="B6"/>
      <c r="C6" s="11" t="s">
        <v>13</v>
      </c>
      <c r="G6" s="12"/>
      <c r="H6" s="9"/>
      <c r="I6" s="12"/>
      <c r="J6" s="12"/>
      <c r="K6" s="12"/>
      <c r="L6" s="12"/>
      <c r="M6" s="24"/>
      <c r="N6" s="10">
        <v>33</v>
      </c>
      <c r="O6" s="10">
        <v>43</v>
      </c>
      <c r="P6" s="10">
        <v>15</v>
      </c>
      <c r="Q6" s="10">
        <v>36</v>
      </c>
      <c r="R6" s="10">
        <v>28</v>
      </c>
      <c r="S6" s="10">
        <v>53</v>
      </c>
      <c r="T6" s="10">
        <v>25</v>
      </c>
      <c r="U6" s="10" t="s">
        <v>14</v>
      </c>
      <c r="V6" s="10" t="s">
        <v>15</v>
      </c>
    </row>
    <row r="7" spans="1:26">
      <c r="A7" s="24"/>
      <c r="C7" s="11" t="s">
        <v>16</v>
      </c>
      <c r="H7" s="9" t="s">
        <v>94</v>
      </c>
      <c r="I7" s="12"/>
      <c r="J7" s="12"/>
      <c r="K7" s="12"/>
      <c r="L7" s="12"/>
      <c r="M7" s="24"/>
      <c r="U7" s="10" t="s">
        <v>17</v>
      </c>
      <c r="V7" s="10" t="s">
        <v>18</v>
      </c>
      <c r="Z7" s="11"/>
    </row>
    <row r="8" spans="1:26">
      <c r="A8" s="24"/>
      <c r="M8" s="24"/>
      <c r="U8" s="10" t="s">
        <v>19</v>
      </c>
      <c r="V8" s="10" t="s">
        <v>20</v>
      </c>
    </row>
    <row r="9" spans="1:26">
      <c r="A9" s="24"/>
      <c r="C9" s="11" t="s">
        <v>21</v>
      </c>
      <c r="H9" s="3">
        <v>45658</v>
      </c>
      <c r="J9" s="11" t="s">
        <v>22</v>
      </c>
      <c r="K9" s="6">
        <v>0.33333333333333331</v>
      </c>
      <c r="L9" s="18"/>
      <c r="M9" s="24"/>
      <c r="U9" s="10" t="s">
        <v>23</v>
      </c>
      <c r="V9" s="10" t="s">
        <v>24</v>
      </c>
    </row>
    <row r="10" spans="1:26">
      <c r="A10" s="24"/>
      <c r="C10" s="11" t="s">
        <v>25</v>
      </c>
      <c r="H10" s="3">
        <v>45658</v>
      </c>
      <c r="J10" s="11" t="s">
        <v>22</v>
      </c>
      <c r="K10" s="6">
        <v>0.33333333333333331</v>
      </c>
      <c r="L10" s="18"/>
      <c r="M10" s="24"/>
      <c r="U10" s="10" t="s">
        <v>26</v>
      </c>
      <c r="V10" s="10" t="s">
        <v>27</v>
      </c>
    </row>
    <row r="11" spans="1:26">
      <c r="A11" s="24"/>
      <c r="C11" s="11"/>
      <c r="H11" s="17"/>
      <c r="J11" s="11"/>
      <c r="K11" s="18"/>
      <c r="L11" s="18"/>
      <c r="M11" s="24"/>
      <c r="N11" s="24"/>
      <c r="O11" s="24"/>
      <c r="P11" s="24"/>
      <c r="Q11" s="24"/>
      <c r="R11" s="24"/>
      <c r="S11" s="24"/>
    </row>
    <row r="12" spans="1:26">
      <c r="A12" s="24"/>
      <c r="C12" s="11" t="s">
        <v>28</v>
      </c>
      <c r="H12" s="5">
        <v>0</v>
      </c>
      <c r="J12" s="11"/>
      <c r="K12" s="18"/>
      <c r="L12" s="18"/>
      <c r="M12" s="24"/>
      <c r="N12" s="24" t="s">
        <v>101</v>
      </c>
      <c r="O12" s="24"/>
      <c r="P12" s="24"/>
      <c r="Q12" s="24"/>
      <c r="R12" s="24"/>
      <c r="S12" s="24"/>
      <c r="U12" s="10" t="s">
        <v>55</v>
      </c>
      <c r="V12" s="10" t="s">
        <v>56</v>
      </c>
    </row>
    <row r="13" spans="1:26">
      <c r="A13" s="24"/>
      <c r="C13" s="11"/>
      <c r="H13" s="22"/>
      <c r="J13" s="11"/>
      <c r="K13" s="18"/>
      <c r="L13" s="18"/>
      <c r="M13" s="24"/>
      <c r="N13" s="40">
        <f>IF(OR(H4="Hallenkletterkurs"),0,H10-H9)</f>
        <v>0</v>
      </c>
      <c r="O13" s="41">
        <f>1440-HOUR(K9)*60-MINUTE(K9)</f>
        <v>960</v>
      </c>
      <c r="P13" s="41">
        <f>1440-HOUR(K10)*60-MINUTE(K10)</f>
        <v>960</v>
      </c>
      <c r="Q13" s="41">
        <f>HOUR(K10)*60+MINUTE(K10)</f>
        <v>480</v>
      </c>
      <c r="R13" s="35"/>
      <c r="S13" s="35"/>
    </row>
    <row r="14" spans="1:26">
      <c r="A14" s="14"/>
      <c r="B14" s="13" t="s">
        <v>29</v>
      </c>
      <c r="C14" s="14"/>
      <c r="D14" s="14"/>
      <c r="E14" s="14"/>
      <c r="F14" s="14"/>
      <c r="G14" s="13" t="s">
        <v>30</v>
      </c>
      <c r="H14" s="14"/>
      <c r="I14" s="14"/>
      <c r="J14" s="14"/>
      <c r="K14" s="14"/>
      <c r="L14" s="14"/>
      <c r="M14" s="14"/>
      <c r="N14" s="35"/>
      <c r="O14" s="42" t="s">
        <v>64</v>
      </c>
      <c r="P14" s="42" t="s">
        <v>65</v>
      </c>
      <c r="Q14" s="35"/>
      <c r="R14" s="35"/>
      <c r="S14" s="35"/>
    </row>
    <row r="15" spans="1:26">
      <c r="A15" s="14"/>
      <c r="B15" s="11" t="s">
        <v>91</v>
      </c>
      <c r="F15" s="14"/>
      <c r="G15" s="11" t="s">
        <v>31</v>
      </c>
      <c r="L15" s="11" t="s">
        <v>32</v>
      </c>
      <c r="M15" s="14"/>
      <c r="N15" s="35"/>
      <c r="O15" s="36">
        <f>IF(AND($N$13=0,(K10-K9)*60*24&gt;=481),1,0)</f>
        <v>0</v>
      </c>
      <c r="P15" s="36">
        <f>IF(AND($N$13=0,(K10-K9)*60*24&gt;=481,(K10-K9)*60*24&lt;1440),1,0)</f>
        <v>0</v>
      </c>
      <c r="Q15" s="35" t="s">
        <v>66</v>
      </c>
      <c r="R15" s="35"/>
      <c r="S15" s="35"/>
    </row>
    <row r="16" spans="1:26">
      <c r="A16" s="14"/>
      <c r="B16" s="5">
        <v>0</v>
      </c>
      <c r="C16" s="10" t="s">
        <v>33</v>
      </c>
      <c r="F16" s="14"/>
      <c r="G16" s="46"/>
      <c r="H16" s="10" t="s">
        <v>34</v>
      </c>
      <c r="L16" s="21">
        <f t="shared" ref="L16:L21" si="0">G16*(H$12+1)</f>
        <v>0</v>
      </c>
      <c r="M16" s="14"/>
      <c r="N16" s="35"/>
      <c r="O16" s="36"/>
      <c r="P16" s="36"/>
      <c r="Q16" s="35"/>
      <c r="R16" s="35"/>
      <c r="S16" s="35"/>
      <c r="T16" s="10">
        <f>IF(I23="ja",15,0)</f>
        <v>15</v>
      </c>
    </row>
    <row r="17" spans="1:20">
      <c r="A17" s="14"/>
      <c r="B17" s="5"/>
      <c r="C17" s="10" t="s">
        <v>35</v>
      </c>
      <c r="F17" s="14"/>
      <c r="G17" s="46">
        <v>0</v>
      </c>
      <c r="H17" s="10" t="s">
        <v>36</v>
      </c>
      <c r="L17" s="21">
        <f t="shared" si="0"/>
        <v>0</v>
      </c>
      <c r="M17" s="14"/>
      <c r="N17" s="35"/>
      <c r="O17" s="36">
        <f>IF(AND($N$13=1,$O$13&gt;=0),1,0)</f>
        <v>0</v>
      </c>
      <c r="P17" s="36">
        <f>IF(AND($N$13=1,$O$13&gt;=0,$O$13&lt;1440),1,0)</f>
        <v>0</v>
      </c>
      <c r="Q17" s="35" t="s">
        <v>67</v>
      </c>
      <c r="R17" s="35" t="s">
        <v>68</v>
      </c>
      <c r="S17" s="35"/>
      <c r="T17" s="10">
        <f>IF(B16+B17=0,0,IF((1+H12)/(B16+B17)&gt;3,5,0))</f>
        <v>0</v>
      </c>
    </row>
    <row r="18" spans="1:20">
      <c r="A18" s="14"/>
      <c r="B18" s="5"/>
      <c r="C18" s="10" t="s">
        <v>37</v>
      </c>
      <c r="F18" s="14"/>
      <c r="G18" s="46"/>
      <c r="H18" s="10" t="s">
        <v>38</v>
      </c>
      <c r="L18" s="21">
        <f t="shared" si="0"/>
        <v>0</v>
      </c>
      <c r="M18" s="14"/>
      <c r="N18" s="35"/>
      <c r="O18" s="36">
        <f>IF(AND($N$13=1,$Q$13&gt;=0),1,0)</f>
        <v>0</v>
      </c>
      <c r="P18" s="36">
        <f>IF(AND($N$13=1,$Q$13&gt;=0,$Q$13&lt;1440),1,0)</f>
        <v>0</v>
      </c>
      <c r="Q18" s="35"/>
      <c r="R18" s="35" t="s">
        <v>69</v>
      </c>
      <c r="S18" s="35"/>
    </row>
    <row r="19" spans="1:20">
      <c r="A19" s="14"/>
      <c r="B19" s="5"/>
      <c r="C19" s="10" t="s">
        <v>39</v>
      </c>
      <c r="F19" s="14"/>
      <c r="G19" s="46"/>
      <c r="H19" s="10" t="s">
        <v>40</v>
      </c>
      <c r="L19" s="21">
        <f t="shared" si="0"/>
        <v>0</v>
      </c>
      <c r="M19" s="14"/>
      <c r="N19" s="35"/>
      <c r="O19" s="36">
        <f>IF(AND($N$13&gt;1,$O$13&gt;=0),1,0)</f>
        <v>0</v>
      </c>
      <c r="P19" s="36">
        <f>IF(AND($N$13&gt;1,$O$13&gt;=0,$O$13&lt;1440),1,0)</f>
        <v>0</v>
      </c>
      <c r="Q19" s="35" t="s">
        <v>71</v>
      </c>
      <c r="R19" s="35" t="s">
        <v>68</v>
      </c>
      <c r="S19" s="35"/>
    </row>
    <row r="20" spans="1:20">
      <c r="A20" s="14"/>
      <c r="B20" s="5"/>
      <c r="C20" s="10" t="s">
        <v>41</v>
      </c>
      <c r="F20" s="14"/>
      <c r="G20" s="46"/>
      <c r="H20" s="10" t="s">
        <v>42</v>
      </c>
      <c r="L20" s="21">
        <f t="shared" si="0"/>
        <v>0</v>
      </c>
      <c r="M20" s="14"/>
      <c r="N20" s="35"/>
      <c r="O20" s="36">
        <f>IF(AND($N$13&gt;1,$Q$13&gt;=0),1,0)</f>
        <v>0</v>
      </c>
      <c r="P20" s="36">
        <f>IF(AND($N$13&gt;1,$Q$13&gt;=0,$Q$13&lt;1440),1,0)</f>
        <v>0</v>
      </c>
      <c r="Q20" s="35"/>
      <c r="R20" s="35" t="s">
        <v>69</v>
      </c>
      <c r="S20" s="35"/>
    </row>
    <row r="21" spans="1:20">
      <c r="A21" s="14"/>
      <c r="B21" s="5"/>
      <c r="C21" s="10" t="s">
        <v>43</v>
      </c>
      <c r="F21" s="14"/>
      <c r="G21" s="46"/>
      <c r="H21" s="10" t="s">
        <v>44</v>
      </c>
      <c r="L21" s="21">
        <f t="shared" si="0"/>
        <v>0</v>
      </c>
      <c r="M21" s="24"/>
      <c r="N21" s="35"/>
      <c r="O21" s="36">
        <f>IF(H4="Hallenkletterkurs",0,SUM(O15:O20))</f>
        <v>0</v>
      </c>
      <c r="P21" s="36">
        <f>SUM(P15:P20)</f>
        <v>0</v>
      </c>
      <c r="Q21" s="35" t="s">
        <v>72</v>
      </c>
      <c r="R21" s="35"/>
      <c r="S21" s="35"/>
    </row>
    <row r="22" spans="1:20">
      <c r="A22" s="14"/>
      <c r="B22" s="5"/>
      <c r="C22" s="10" t="s">
        <v>45</v>
      </c>
      <c r="F22" s="14"/>
      <c r="G22" s="17"/>
      <c r="H22" s="17"/>
      <c r="J22" s="11"/>
      <c r="L22" s="18"/>
      <c r="M22" s="24"/>
      <c r="N22" s="24"/>
      <c r="O22" s="24"/>
      <c r="P22" s="24"/>
      <c r="Q22" s="24"/>
      <c r="R22" s="24"/>
      <c r="S22" s="24"/>
    </row>
    <row r="23" spans="1:20">
      <c r="A23" s="14"/>
      <c r="B23" s="5"/>
      <c r="C23" s="10" t="s">
        <v>46</v>
      </c>
      <c r="F23" s="14"/>
      <c r="G23" s="20" t="s">
        <v>47</v>
      </c>
      <c r="H23" s="17"/>
      <c r="I23" s="10" t="str">
        <f>IF(B16+B17=0,"ja","nein")</f>
        <v>ja</v>
      </c>
      <c r="J23" s="11"/>
      <c r="K23" s="18"/>
      <c r="L23" s="18"/>
      <c r="M23" s="24"/>
    </row>
    <row r="24" spans="1:20">
      <c r="A24" s="33"/>
      <c r="B24" s="13" t="s">
        <v>48</v>
      </c>
      <c r="C24" s="13"/>
      <c r="D24" s="14"/>
      <c r="E24" s="14"/>
      <c r="F24" s="14"/>
      <c r="G24" s="15"/>
      <c r="H24" s="15"/>
      <c r="I24" s="14"/>
      <c r="J24" s="13"/>
      <c r="K24" s="16"/>
      <c r="L24" s="16"/>
      <c r="M24" s="24"/>
      <c r="O24" s="36">
        <f>IF(AND($N$13=1,$O$13&gt;=480),1,0)</f>
        <v>0</v>
      </c>
      <c r="P24" s="36">
        <f>IF(AND($N$13=1,$O$13&gt;=480,$O$13&lt;840),1,0)</f>
        <v>0</v>
      </c>
      <c r="Q24" s="35" t="s">
        <v>67</v>
      </c>
      <c r="R24" s="35" t="s">
        <v>68</v>
      </c>
      <c r="S24" s="35"/>
    </row>
    <row r="25" spans="1:20">
      <c r="A25" s="33"/>
      <c r="B25" s="10" t="s">
        <v>114</v>
      </c>
      <c r="C25" s="11"/>
      <c r="G25" s="7">
        <v>0</v>
      </c>
      <c r="H25" s="17"/>
      <c r="J25" s="11"/>
      <c r="K25" s="18"/>
      <c r="L25" s="18"/>
      <c r="M25" s="24"/>
      <c r="O25" s="36">
        <f>IF(AND($N$13=1,$Q$13&gt;=480),1,0)</f>
        <v>0</v>
      </c>
      <c r="P25" s="36">
        <f>IF(AND($N$13=1,$Q$13&gt;=480,$Q$13&lt;840),1,0)</f>
        <v>0</v>
      </c>
      <c r="Q25" s="35"/>
      <c r="R25" s="35" t="s">
        <v>69</v>
      </c>
      <c r="S25" s="35"/>
    </row>
    <row r="26" spans="1:20">
      <c r="A26" s="33"/>
      <c r="B26" s="10" t="s">
        <v>49</v>
      </c>
      <c r="C26" s="11"/>
      <c r="G26" s="17"/>
      <c r="H26" s="17"/>
      <c r="J26" s="11"/>
      <c r="K26" s="18"/>
      <c r="L26" s="18"/>
      <c r="M26" s="24"/>
      <c r="O26" s="36">
        <f>IF(AND($N$13&gt;1,$O$13&gt;=480),1,0)</f>
        <v>0</v>
      </c>
      <c r="P26" s="36">
        <f>IF(AND($N$13&gt;1,$O$13&gt;=480,$O$13&lt;840),1,0)</f>
        <v>0</v>
      </c>
      <c r="Q26" s="35" t="s">
        <v>71</v>
      </c>
      <c r="R26" s="35" t="s">
        <v>68</v>
      </c>
      <c r="S26" s="35"/>
    </row>
    <row r="27" spans="1:20">
      <c r="A27" s="33"/>
      <c r="B27" s="10" t="s">
        <v>50</v>
      </c>
      <c r="C27" s="11"/>
      <c r="D27" s="54">
        <v>0</v>
      </c>
      <c r="E27" s="10" t="s">
        <v>51</v>
      </c>
      <c r="G27" s="49">
        <v>0</v>
      </c>
      <c r="H27" s="17" t="s">
        <v>52</v>
      </c>
      <c r="I27" s="50">
        <f>100-G27-D27</f>
        <v>100</v>
      </c>
      <c r="J27" s="10" t="s">
        <v>53</v>
      </c>
      <c r="K27" s="19"/>
      <c r="L27" s="18"/>
      <c r="M27" s="24"/>
      <c r="O27" s="36">
        <f>IF(AND($N$13&gt;1,$Q$13&gt;=480),1,0)</f>
        <v>0</v>
      </c>
      <c r="P27" s="36">
        <f>IF(AND($N$13&gt;1,$Q$13&gt;=480,$Q$13&lt;840),1,0)</f>
        <v>0</v>
      </c>
      <c r="Q27" s="35"/>
      <c r="R27" s="35" t="s">
        <v>69</v>
      </c>
      <c r="S27" s="35"/>
    </row>
    <row r="28" spans="1:20">
      <c r="A28" s="33"/>
      <c r="M28" s="24"/>
    </row>
    <row r="29" spans="1:20">
      <c r="A29" s="24"/>
      <c r="B29" s="13" t="s">
        <v>132</v>
      </c>
      <c r="C29" s="13"/>
      <c r="D29" s="14"/>
      <c r="E29" s="14"/>
      <c r="F29" s="14"/>
      <c r="G29" s="15"/>
      <c r="H29" s="15"/>
      <c r="I29" s="14"/>
      <c r="J29" s="13"/>
      <c r="K29" s="16"/>
      <c r="L29" s="16"/>
      <c r="M29" s="24"/>
      <c r="O29" s="36">
        <f>SUM(O24:O27)</f>
        <v>0</v>
      </c>
      <c r="P29" s="36">
        <f>SUM(P24:P27)</f>
        <v>0</v>
      </c>
    </row>
    <row r="30" spans="1:20">
      <c r="A30" s="24"/>
      <c r="C30" s="25">
        <f>IF(H9&lt;&gt;"",N13+1,0)</f>
        <v>1</v>
      </c>
      <c r="D30" s="25"/>
      <c r="E30" s="11" t="s">
        <v>57</v>
      </c>
      <c r="F30" s="11"/>
      <c r="I30" s="25" t="s">
        <v>58</v>
      </c>
      <c r="J30" s="29">
        <f>IF(OR(H4="Hallenkletterkurs",H4="Abendkurs",H4="#auswählen#"),0,IF(I23="ja",15,0))+IF(OR(H4="Hochtour",H4="Skihochtour"),55,IF(OR(H4="Abendkurs",H4="Wandern",H4="Schneeschuh"),34,IF(H4="2ter Begleiter",17,IF(OR(H4="Skitour",H4="Bergsteigen",H4="Klettersteig",H4="Mountainbike",H4="Klettern"),45,IF(OR(H4="Hallenkletterkurs"),80,IF(OR(H4="Ausbildung"),65,0))))))</f>
        <v>0</v>
      </c>
      <c r="L30" s="2">
        <f>C30*J30</f>
        <v>0</v>
      </c>
      <c r="M30" s="24"/>
    </row>
    <row r="31" spans="1:20">
      <c r="A31" s="24"/>
      <c r="M31" s="24"/>
    </row>
    <row r="32" spans="1:20">
      <c r="A32" s="33"/>
      <c r="B32" s="13" t="s">
        <v>54</v>
      </c>
      <c r="C32" s="34"/>
      <c r="D32" s="34"/>
      <c r="E32" s="13"/>
      <c r="F32" s="13"/>
      <c r="G32" s="14"/>
      <c r="H32" s="14"/>
      <c r="I32" s="34"/>
      <c r="J32" s="64"/>
      <c r="K32" s="65"/>
      <c r="L32" s="66"/>
      <c r="M32" s="24"/>
    </row>
    <row r="33" spans="1:22">
      <c r="A33" s="24"/>
      <c r="C33" s="25">
        <f>N13</f>
        <v>0</v>
      </c>
      <c r="D33" s="25"/>
      <c r="E33" s="11" t="s">
        <v>59</v>
      </c>
      <c r="F33" s="11"/>
      <c r="I33" s="25" t="s">
        <v>58</v>
      </c>
      <c r="J33" s="29">
        <f>IF(OR(H7="D"),20,IF(OR(H7="CH",H7="F",H7="N"),44,IF(OR(H7="#auswählen#"),0,33)))</f>
        <v>20</v>
      </c>
      <c r="K33" s="1">
        <f>C33*J33</f>
        <v>0</v>
      </c>
      <c r="L33" s="2"/>
      <c r="M33" s="24"/>
    </row>
    <row r="34" spans="1:22">
      <c r="A34" s="24"/>
      <c r="B34" s="30" t="s">
        <v>92</v>
      </c>
      <c r="C34" s="31">
        <f>IF(K9="",0,IF(N13&lt;2,0,N13-1))</f>
        <v>0</v>
      </c>
      <c r="D34" s="30">
        <f t="shared" ref="D34:D35" si="1">K34/J34</f>
        <v>0</v>
      </c>
      <c r="E34" s="11" t="s">
        <v>60</v>
      </c>
      <c r="F34" s="11"/>
      <c r="I34" s="25" t="s">
        <v>58</v>
      </c>
      <c r="J34" s="29">
        <f>IF(H$10-H$9=0,P3,IF(H$7="a",N3,IF(H$7="ch",O3,IF(H$7="d",P3,IF(H$7="F",Q3,IF(H$7="I",R3,IF(H$7="slo",T3,IF(H$7="n",S3,IF(H$7="Sonstiges",P3,0)))))))))</f>
        <v>30</v>
      </c>
      <c r="K34" s="1">
        <f>C34*J34</f>
        <v>0</v>
      </c>
      <c r="L34" s="2"/>
      <c r="M34" s="24"/>
      <c r="U34"/>
    </row>
    <row r="35" spans="1:22" outlineLevel="1">
      <c r="A35" s="24"/>
      <c r="B35" s="30" t="s">
        <v>92</v>
      </c>
      <c r="C35" s="31">
        <f>IF(K9="",0,IF(O21=1,1,O29))</f>
        <v>0</v>
      </c>
      <c r="D35" s="30">
        <f t="shared" si="1"/>
        <v>0</v>
      </c>
      <c r="E35" s="11" t="s">
        <v>63</v>
      </c>
      <c r="F35" s="11"/>
      <c r="I35" s="25" t="s">
        <v>58</v>
      </c>
      <c r="J35" s="29">
        <f>IF(H$10-H$9=0,P5,IF(H$7="a",N5,IF(H$7="ch",O5,IF(H$7="d",P5,IF(H$7="F",Q5,IF(H$7="I",R5,IF(H$7="SLO",T5,IF(H$7="n",S5,IF(H$7="Sonstiges",P5,0)))))))))</f>
        <v>15</v>
      </c>
      <c r="K35" s="1">
        <f>IF(O29=1,(C35*J35),IF(O29=2,(C35*J35),0))</f>
        <v>0</v>
      </c>
      <c r="L35" s="2"/>
      <c r="M35" s="24"/>
      <c r="U35" s="10" t="s">
        <v>61</v>
      </c>
      <c r="V35" s="10" t="s">
        <v>62</v>
      </c>
    </row>
    <row r="36" spans="1:22" outlineLevel="1">
      <c r="A36" s="24"/>
      <c r="B36" s="30" t="s">
        <v>92</v>
      </c>
      <c r="C36" s="31">
        <f>IF(H4="Hallenkletterkurs",0,IF(K9="",0,P21))</f>
        <v>0</v>
      </c>
      <c r="D36" s="30">
        <f>K36/J36</f>
        <v>0</v>
      </c>
      <c r="E36" s="11" t="s">
        <v>63</v>
      </c>
      <c r="F36" s="11"/>
      <c r="I36" s="25" t="s">
        <v>58</v>
      </c>
      <c r="J36" s="29">
        <f>IF(H$10-H$9=0,P6,IF(H$7="a",N6,IF(H$7="ch",O6,IF(H$7="d",P6,IF(H$7="F",Q6,IF(H$7="I",R6,IF(H$7="SLO",T6,IF(H$7="n",S6,IF(H$7="Sonstiges",P6,0)))))))))</f>
        <v>15</v>
      </c>
      <c r="K36" s="1">
        <f>IF(O29=1,(1*J36),IF(O29=2,0,(C36*J36)))</f>
        <v>0</v>
      </c>
      <c r="L36" s="2">
        <f>SUM(K33:K36)</f>
        <v>0</v>
      </c>
      <c r="M36" s="24"/>
    </row>
    <row r="37" spans="1:22" outlineLevel="1">
      <c r="A37" s="24"/>
      <c r="C37" s="32"/>
      <c r="D37" s="32"/>
      <c r="E37" s="11" t="s">
        <v>121</v>
      </c>
      <c r="F37" s="11"/>
      <c r="G37" s="11"/>
      <c r="H37" s="11"/>
      <c r="I37" s="25"/>
      <c r="J37" s="29"/>
      <c r="K37" s="1"/>
      <c r="L37" s="2"/>
      <c r="M37" s="24"/>
    </row>
    <row r="38" spans="1:22" outlineLevel="1">
      <c r="A38" s="24"/>
      <c r="B38" s="27" t="s">
        <v>102</v>
      </c>
      <c r="C38" s="27"/>
      <c r="D38" s="27"/>
      <c r="E38" s="27"/>
      <c r="F38" s="27"/>
      <c r="G38" s="24"/>
      <c r="H38" s="24"/>
      <c r="I38" s="24"/>
      <c r="J38" s="24"/>
      <c r="K38" s="24"/>
      <c r="L38" s="27"/>
      <c r="M38" s="24"/>
    </row>
    <row r="39" spans="1:22" outlineLevel="1">
      <c r="A39" s="24"/>
      <c r="C39" s="49">
        <v>0</v>
      </c>
      <c r="E39" s="11" t="s">
        <v>70</v>
      </c>
      <c r="F39" s="11"/>
      <c r="I39" s="25"/>
      <c r="J39" s="29"/>
      <c r="K39" s="1">
        <f>IF(B16+B17=0,0,IF(B18=1,0,IF(C39/(H10-H9+1)&lt;=O40,C39*P40,IF(C39/(H10-H9+1)&lt;=O41,O40*P40*(H10-H9+1)+(C39-O40*(H10-H9+1))*P41,O40*P40*(H10-H9+1)+(O41-O40)*(H10-H9+1)*P41+(C39-O41*(H10-H9+1))*P42))))</f>
        <v>0</v>
      </c>
      <c r="L39" s="2"/>
      <c r="M39" s="24"/>
      <c r="N39" s="10" t="s">
        <v>99</v>
      </c>
    </row>
    <row r="40" spans="1:22" outlineLevel="1">
      <c r="A40" s="24"/>
      <c r="B40" s="26"/>
      <c r="E40"/>
      <c r="F40"/>
      <c r="H40" s="10" t="s">
        <v>39</v>
      </c>
      <c r="K40" s="1">
        <f>IF(B19=1,19,0)</f>
        <v>0</v>
      </c>
      <c r="M40" s="24"/>
      <c r="O40" s="57">
        <v>150</v>
      </c>
      <c r="P40" s="58">
        <v>0.15</v>
      </c>
      <c r="Q40" s="10">
        <f>O40*P40</f>
        <v>22.5</v>
      </c>
      <c r="U40" s="39" t="s">
        <v>93</v>
      </c>
      <c r="V40" s="38"/>
    </row>
    <row r="41" spans="1:22" outlineLevel="1">
      <c r="A41" s="24"/>
      <c r="B41" s="26"/>
      <c r="E41"/>
      <c r="F41"/>
      <c r="H41" s="10" t="s">
        <v>96</v>
      </c>
      <c r="K41" s="53">
        <f>IF(B16+B17=0,0,IF((1+H12)/(B16+B17)&gt;3,5,0))*(H10-H9+1)</f>
        <v>0</v>
      </c>
      <c r="M41" s="24"/>
      <c r="O41" s="57">
        <v>200</v>
      </c>
      <c r="P41" s="58">
        <v>0.1</v>
      </c>
      <c r="Q41" s="10">
        <f t="shared" ref="Q41:Q42" si="2">O41*P41</f>
        <v>20</v>
      </c>
      <c r="U41" s="10" t="s">
        <v>100</v>
      </c>
    </row>
    <row r="42" spans="1:22" outlineLevel="1">
      <c r="A42" s="24"/>
      <c r="H42" s="10" t="s">
        <v>127</v>
      </c>
      <c r="K42" s="53">
        <f>IF(F78&lt;0,F78*(-1),0)</f>
        <v>0</v>
      </c>
      <c r="L42" s="2">
        <f>SUM(K39:K42)</f>
        <v>0</v>
      </c>
      <c r="M42" s="24"/>
      <c r="O42" s="57"/>
      <c r="P42" s="58">
        <v>0.05</v>
      </c>
      <c r="Q42" s="10">
        <f t="shared" si="2"/>
        <v>0</v>
      </c>
    </row>
    <row r="43" spans="1:22">
      <c r="A43" s="24"/>
      <c r="B43" s="27" t="s">
        <v>73</v>
      </c>
      <c r="C43" s="27"/>
      <c r="D43" s="27"/>
      <c r="E43" s="27"/>
      <c r="F43" s="27"/>
      <c r="G43" s="24"/>
      <c r="H43" s="24"/>
      <c r="I43" s="24"/>
      <c r="J43" s="24"/>
      <c r="K43" s="24"/>
      <c r="L43" s="27"/>
      <c r="M43" s="24"/>
      <c r="O43" s="57"/>
    </row>
    <row r="44" spans="1:22">
      <c r="A44" s="24"/>
      <c r="E44" s="11" t="s">
        <v>75</v>
      </c>
      <c r="F44" s="11"/>
      <c r="H44" s="7"/>
      <c r="I44" s="7"/>
      <c r="K44" s="51">
        <v>0</v>
      </c>
      <c r="L44" s="2"/>
      <c r="M44" s="24"/>
    </row>
    <row r="45" spans="1:22">
      <c r="A45" s="24"/>
      <c r="E45" s="11" t="s">
        <v>76</v>
      </c>
      <c r="F45" s="11"/>
      <c r="K45" s="51">
        <v>0</v>
      </c>
      <c r="L45" s="2"/>
      <c r="M45" s="24"/>
      <c r="N45" s="10" t="s">
        <v>103</v>
      </c>
    </row>
    <row r="46" spans="1:22">
      <c r="A46" s="24"/>
      <c r="E46" s="11" t="s">
        <v>77</v>
      </c>
      <c r="F46" s="11"/>
      <c r="K46" s="51">
        <v>0</v>
      </c>
      <c r="L46" s="2"/>
      <c r="M46" s="24"/>
      <c r="N46" s="10" t="s">
        <v>104</v>
      </c>
    </row>
    <row r="47" spans="1:22">
      <c r="A47" s="24"/>
      <c r="E47" s="11" t="s">
        <v>78</v>
      </c>
      <c r="F47" s="11"/>
      <c r="K47" s="51">
        <v>0</v>
      </c>
      <c r="M47" s="24"/>
      <c r="N47" s="10" t="s">
        <v>105</v>
      </c>
    </row>
    <row r="48" spans="1:22">
      <c r="A48" s="24"/>
      <c r="E48" s="11" t="s">
        <v>79</v>
      </c>
      <c r="F48" s="11"/>
      <c r="I48" s="46">
        <v>0</v>
      </c>
      <c r="J48" s="11" t="s">
        <v>80</v>
      </c>
      <c r="K48" s="47">
        <f>I48*5</f>
        <v>0</v>
      </c>
      <c r="M48" s="24"/>
      <c r="N48" s="10" t="s">
        <v>106</v>
      </c>
    </row>
    <row r="49" spans="1:22">
      <c r="A49" s="24"/>
      <c r="E49" s="11" t="s">
        <v>81</v>
      </c>
      <c r="F49" s="11"/>
      <c r="I49" s="10">
        <v>5</v>
      </c>
      <c r="J49" s="10" t="s">
        <v>82</v>
      </c>
      <c r="K49" s="47">
        <f>IF(H4="Ausbildung",C30*I49,0)</f>
        <v>0</v>
      </c>
      <c r="M49" s="24"/>
      <c r="N49" s="10" t="s">
        <v>17</v>
      </c>
    </row>
    <row r="50" spans="1:22" ht="15" thickBot="1">
      <c r="A50" s="24"/>
      <c r="E50" s="11" t="s">
        <v>97</v>
      </c>
      <c r="F50" s="11"/>
      <c r="H50" s="7"/>
      <c r="I50" s="59"/>
      <c r="K50" s="51">
        <v>0</v>
      </c>
      <c r="L50" s="4">
        <f>SUM(K44:K50)</f>
        <v>0</v>
      </c>
      <c r="M50" s="24"/>
      <c r="N50" s="10" t="s">
        <v>9</v>
      </c>
    </row>
    <row r="51" spans="1:22" ht="15">
      <c r="A51" s="24"/>
      <c r="E51" s="10" t="s">
        <v>98</v>
      </c>
      <c r="G51" s="28"/>
      <c r="H51" s="56"/>
      <c r="I51" s="7"/>
      <c r="K51" s="1"/>
      <c r="L51" s="1"/>
      <c r="M51" s="24"/>
      <c r="N51" s="10" t="s">
        <v>107</v>
      </c>
      <c r="U51" s="37" t="s">
        <v>74</v>
      </c>
      <c r="V51" s="38"/>
    </row>
    <row r="52" spans="1:22" ht="15" thickBot="1">
      <c r="A52" s="24"/>
      <c r="B52" s="11" t="s">
        <v>72</v>
      </c>
      <c r="L52" s="4">
        <f>L50+L42+L36+L30</f>
        <v>0</v>
      </c>
      <c r="M52" s="24"/>
      <c r="N52" s="10" t="s">
        <v>108</v>
      </c>
    </row>
    <row r="53" spans="1:22">
      <c r="A53" s="24"/>
      <c r="B53" s="10" t="s">
        <v>113</v>
      </c>
      <c r="M53" s="24"/>
      <c r="N53" s="10" t="s">
        <v>109</v>
      </c>
    </row>
    <row r="54" spans="1:22">
      <c r="A54" s="24"/>
      <c r="M54" s="24"/>
      <c r="N54" s="10" t="s">
        <v>110</v>
      </c>
    </row>
    <row r="55" spans="1:22">
      <c r="A55" s="24"/>
      <c r="B55" s="11" t="s">
        <v>83</v>
      </c>
      <c r="M55" s="24"/>
      <c r="N55" s="10" t="s">
        <v>111</v>
      </c>
    </row>
    <row r="56" spans="1:22">
      <c r="A56" s="24"/>
      <c r="C56" s="25" t="s">
        <v>85</v>
      </c>
      <c r="E56" s="10" t="s">
        <v>86</v>
      </c>
      <c r="G56" s="67"/>
      <c r="H56" s="67"/>
      <c r="I56" s="67"/>
      <c r="J56" s="67"/>
      <c r="M56" s="24"/>
      <c r="N56" s="10" t="s">
        <v>112</v>
      </c>
      <c r="U56" s="39" t="s">
        <v>84</v>
      </c>
    </row>
    <row r="57" spans="1:22">
      <c r="A57" s="24"/>
      <c r="C57" s="25" t="s">
        <v>88</v>
      </c>
      <c r="G57" s="67"/>
      <c r="H57" s="67"/>
      <c r="I57" s="67"/>
      <c r="J57" s="67"/>
      <c r="M57" s="24"/>
      <c r="N57" s="10" t="s">
        <v>26</v>
      </c>
      <c r="U57" s="10" t="s">
        <v>87</v>
      </c>
    </row>
    <row r="58" spans="1:22">
      <c r="A58" s="24"/>
      <c r="C58" s="25" t="s">
        <v>90</v>
      </c>
      <c r="G58" s="67"/>
      <c r="H58" s="67"/>
      <c r="I58" s="67"/>
      <c r="J58" s="67"/>
      <c r="M58" s="24"/>
      <c r="N58" s="10" t="s">
        <v>23</v>
      </c>
      <c r="U58" s="10" t="s">
        <v>89</v>
      </c>
    </row>
    <row r="59" spans="1:22">
      <c r="A59" s="33"/>
      <c r="B59" s="34"/>
      <c r="C59" s="14"/>
      <c r="D59" s="14"/>
      <c r="E59" s="14"/>
      <c r="F59" s="14"/>
      <c r="G59" s="14"/>
      <c r="H59" s="14"/>
      <c r="I59" s="14"/>
      <c r="J59" s="14"/>
      <c r="K59" s="52"/>
      <c r="L59" s="52" t="s">
        <v>137</v>
      </c>
      <c r="M59" s="24"/>
      <c r="N59" s="10" t="s">
        <v>14</v>
      </c>
    </row>
    <row r="60" spans="1:22">
      <c r="A60" s="55"/>
      <c r="B60" s="55" t="s">
        <v>95</v>
      </c>
      <c r="C60" s="55"/>
      <c r="D60" s="55"/>
      <c r="E60" s="55"/>
      <c r="F60" s="55"/>
      <c r="G60" s="55"/>
      <c r="H60" s="55"/>
      <c r="I60" s="55"/>
      <c r="J60" s="60"/>
      <c r="K60" s="55"/>
      <c r="L60" s="55"/>
      <c r="M60" s="55"/>
    </row>
    <row r="61" spans="1:22">
      <c r="A61" s="55"/>
      <c r="B61" s="55"/>
      <c r="C61" s="55"/>
      <c r="D61" s="55"/>
      <c r="E61" s="55"/>
      <c r="F61" s="55"/>
      <c r="G61" s="55"/>
      <c r="H61" s="55"/>
      <c r="I61" s="55"/>
      <c r="J61" s="60"/>
      <c r="K61" s="55"/>
      <c r="L61" s="55"/>
      <c r="M61" s="55"/>
    </row>
    <row r="62" spans="1:22">
      <c r="A62" s="55"/>
      <c r="B62" s="55"/>
      <c r="C62" s="55"/>
      <c r="D62" s="55"/>
      <c r="E62" s="55"/>
      <c r="F62" s="55"/>
      <c r="G62" s="55"/>
      <c r="H62" s="55"/>
      <c r="I62" s="55"/>
      <c r="J62" s="60"/>
      <c r="K62" s="55"/>
      <c r="L62" s="55"/>
      <c r="M62" s="55"/>
    </row>
    <row r="63" spans="1:22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55"/>
    </row>
    <row r="64" spans="1:22">
      <c r="A64" s="62"/>
      <c r="B64" s="11" t="s">
        <v>120</v>
      </c>
      <c r="H64" s="11" t="s">
        <v>131</v>
      </c>
      <c r="M64" s="62"/>
    </row>
    <row r="65" spans="1:13">
      <c r="A65" s="62"/>
      <c r="M65" s="62"/>
    </row>
    <row r="66" spans="1:13">
      <c r="A66" s="62"/>
      <c r="B66" s="10" t="s">
        <v>124</v>
      </c>
      <c r="F66" s="68">
        <f>96+15</f>
        <v>111</v>
      </c>
      <c r="G66" s="69"/>
      <c r="H66" s="10" t="s">
        <v>128</v>
      </c>
      <c r="K66" s="61"/>
      <c r="L66" s="61">
        <f>IF(B18=1,F66*(H10-H9+1)-100,0)</f>
        <v>0</v>
      </c>
      <c r="M66" s="62"/>
    </row>
    <row r="67" spans="1:13">
      <c r="A67" s="62"/>
      <c r="B67" s="10" t="s">
        <v>125</v>
      </c>
      <c r="F67" s="70">
        <v>300</v>
      </c>
      <c r="G67" s="71"/>
      <c r="M67" s="62"/>
    </row>
    <row r="68" spans="1:13">
      <c r="A68" s="62"/>
      <c r="B68" s="10" t="s">
        <v>126</v>
      </c>
      <c r="F68" s="72">
        <v>0.24</v>
      </c>
      <c r="G68" s="73"/>
      <c r="H68" s="10" t="s">
        <v>129</v>
      </c>
      <c r="L68" s="61">
        <f>IF(B18=1,IF(C39/(H10-H9+1)&gt;F67,(C39-F67*(H10-H9+1))*F68,0),0)</f>
        <v>0</v>
      </c>
      <c r="M68" s="62"/>
    </row>
    <row r="69" spans="1:13">
      <c r="A69" s="62"/>
      <c r="F69" s="74"/>
      <c r="G69" s="75"/>
      <c r="M69" s="62"/>
    </row>
    <row r="70" spans="1:13">
      <c r="A70" s="62"/>
      <c r="B70" s="12" t="s">
        <v>116</v>
      </c>
      <c r="F70" s="76">
        <v>1.8</v>
      </c>
      <c r="G70" s="77"/>
      <c r="H70" s="10" t="s">
        <v>133</v>
      </c>
      <c r="K70" s="61"/>
      <c r="L70" s="61">
        <f>IF(AND(F72=0,B18=1),C39*F70*F71/100,F72)</f>
        <v>0</v>
      </c>
      <c r="M70" s="62"/>
    </row>
    <row r="71" spans="1:13">
      <c r="A71" s="62"/>
      <c r="B71" s="12" t="s">
        <v>118</v>
      </c>
      <c r="F71" s="78">
        <v>12</v>
      </c>
      <c r="G71" s="75"/>
      <c r="M71" s="62"/>
    </row>
    <row r="72" spans="1:13">
      <c r="A72" s="62"/>
      <c r="B72" s="12" t="s">
        <v>123</v>
      </c>
      <c r="F72" s="78">
        <v>0</v>
      </c>
      <c r="G72" s="75"/>
      <c r="M72" s="62"/>
    </row>
    <row r="73" spans="1:13">
      <c r="A73" s="62"/>
      <c r="B73" s="9" t="s">
        <v>119</v>
      </c>
      <c r="C73" s="7"/>
      <c r="D73" s="7"/>
      <c r="F73" s="81">
        <v>20</v>
      </c>
      <c r="G73" s="82"/>
      <c r="H73" s="10" t="s">
        <v>130</v>
      </c>
      <c r="L73" s="61">
        <f>IF(B18=1,F73,0)</f>
        <v>0</v>
      </c>
      <c r="M73" s="62"/>
    </row>
    <row r="74" spans="1:13">
      <c r="A74" s="62"/>
      <c r="B74" s="12"/>
      <c r="F74" s="70"/>
      <c r="G74" s="71"/>
      <c r="M74" s="62"/>
    </row>
    <row r="75" spans="1:13">
      <c r="A75" s="62"/>
      <c r="B75" s="12" t="s">
        <v>117</v>
      </c>
      <c r="F75" s="79">
        <f>L75</f>
        <v>0</v>
      </c>
      <c r="G75" s="80"/>
      <c r="L75" s="61">
        <f>SUM(L66:L74)</f>
        <v>0</v>
      </c>
      <c r="M75" s="62"/>
    </row>
    <row r="76" spans="1:13">
      <c r="A76" s="62"/>
      <c r="B76" s="12" t="s">
        <v>115</v>
      </c>
      <c r="F76" s="79">
        <f>F75/(H12+1)</f>
        <v>0</v>
      </c>
      <c r="G76" s="80"/>
      <c r="L76" s="61"/>
      <c r="M76" s="62"/>
    </row>
    <row r="77" spans="1:13">
      <c r="A77" s="62"/>
      <c r="B77" s="12"/>
      <c r="F77" s="79"/>
      <c r="G77" s="80"/>
      <c r="M77" s="62"/>
    </row>
    <row r="78" spans="1:13">
      <c r="A78" s="62"/>
      <c r="B78" s="12" t="s">
        <v>122</v>
      </c>
      <c r="F78" s="79">
        <f>F75-L70-L73-F76</f>
        <v>0</v>
      </c>
      <c r="G78" s="80"/>
      <c r="M78" s="62"/>
    </row>
    <row r="79" spans="1:13">
      <c r="A79" s="62"/>
      <c r="B79" s="63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1:13">
      <c r="B80" s="21"/>
    </row>
    <row r="81" spans="3:3">
      <c r="C81" s="48"/>
    </row>
  </sheetData>
  <sheetProtection algorithmName="SHA-512" hashValue="Fqoqh9XyuByHp1rTxO31qv1iUtacWSwtWzkOtQveJCaioIpXG2rmFFTUZmzCux4RRfDJbYfF7GM/vxmpZHDpFQ==" saltValue="3lS8sYGryJt65bPBnMR1WQ==" spinCount="100000" sheet="1" selectLockedCells="1"/>
  <mergeCells count="16">
    <mergeCell ref="F78:G78"/>
    <mergeCell ref="F73:G73"/>
    <mergeCell ref="F74:G74"/>
    <mergeCell ref="F75:G75"/>
    <mergeCell ref="F76:G76"/>
    <mergeCell ref="F77:G77"/>
    <mergeCell ref="F68:G68"/>
    <mergeCell ref="F69:G69"/>
    <mergeCell ref="F70:G70"/>
    <mergeCell ref="F71:G71"/>
    <mergeCell ref="F72:G72"/>
    <mergeCell ref="G56:J56"/>
    <mergeCell ref="G57:J57"/>
    <mergeCell ref="G58:J58"/>
    <mergeCell ref="F66:G66"/>
    <mergeCell ref="F67:G67"/>
  </mergeCells>
  <dataValidations count="9">
    <dataValidation type="list" showErrorMessage="1" sqref="B4 D4" xr:uid="{00000000-0002-0000-0000-000000000000}">
      <formula1>"Tour,Kurs"</formula1>
      <formula2>0</formula2>
    </dataValidation>
    <dataValidation type="decimal" allowBlank="1" showInputMessage="1" showErrorMessage="1" error="Nur Zahlenwerte bis 100€" sqref="K44 K46:K47" xr:uid="{00000000-0002-0000-0000-000003000000}">
      <formula1>0</formula1>
      <formula2>100</formula2>
    </dataValidation>
    <dataValidation type="decimal" allowBlank="1" showInputMessage="1" showErrorMessage="1" error="Nur Zahlenwerte eingeben" sqref="K50" xr:uid="{00000000-0002-0000-0000-000004000000}">
      <formula1>0</formula1>
      <formula2>1000</formula2>
    </dataValidation>
    <dataValidation type="whole" allowBlank="1" showInputMessage="1" showErrorMessage="1" error="Nur Zahlenwerte" sqref="C39" xr:uid="{00000000-0002-0000-0000-000005000000}">
      <formula1>0</formula1>
      <formula2>10000</formula2>
    </dataValidation>
    <dataValidation allowBlank="1" showInputMessage="1" showErrorMessage="1" error="Datum ausserhalb des Gültigkeitsbereichs" sqref="H9:H13 G29:H29 G22:H27" xr:uid="{00000000-0002-0000-0000-000006000000}"/>
    <dataValidation type="time" allowBlank="1" showInputMessage="1" showErrorMessage="1" error="Uhrzeit mit falschem Format eingegeben" sqref="K9:K13 K29 K23:K27" xr:uid="{00000000-0002-0000-0000-000007000000}">
      <formula1>0</formula1>
      <formula2>0.999305555555556</formula2>
    </dataValidation>
    <dataValidation type="whole" allowBlank="1" showInputMessage="1" showErrorMessage="1" error="Nur Ganze Zahlen eingeben" sqref="I48" xr:uid="{00000000-0002-0000-0000-000008000000}">
      <formula1>0</formula1>
      <formula2>100</formula2>
    </dataValidation>
    <dataValidation type="list" operator="equal" sqref="H7" xr:uid="{00000000-0002-0000-0000-000002000000}">
      <formula1>"D,A,I,CH,F,SLO,N,Sonstiges,#auswählen#"</formula1>
    </dataValidation>
    <dataValidation type="list" allowBlank="1" showErrorMessage="1" sqref="H4" xr:uid="{00000000-0002-0000-0000-000001000000}">
      <formula1>$N$46:$N$59</formula1>
    </dataValidation>
  </dataValidations>
  <printOptions horizontalCentered="1"/>
  <pageMargins left="0.27569444444444446" right="0.31527777777777777" top="0.31527777777777777" bottom="0.59027777777777779" header="0.51180555555555551" footer="0.51180555555555551"/>
  <pageSetup paperSize="9" scale="86" firstPageNumber="0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1DD5-562E-49F2-ADE5-5429F7445CEF}">
  <dimension ref="A1:V10"/>
  <sheetViews>
    <sheetView workbookViewId="0"/>
  </sheetViews>
  <sheetFormatPr baseColWidth="10" defaultRowHeight="14.25"/>
  <cols>
    <col min="4" max="4" width="3.125" customWidth="1"/>
  </cols>
  <sheetData>
    <row r="1" spans="1:22">
      <c r="A1" t="s">
        <v>134</v>
      </c>
    </row>
    <row r="2" spans="1:22">
      <c r="A2" t="s">
        <v>136</v>
      </c>
    </row>
    <row r="10" spans="1:22">
      <c r="V10" t="s">
        <v>135</v>
      </c>
    </row>
  </sheetData>
  <sheetProtection algorithmName="SHA-512" hashValue="xWvyAgcLX3dc0IDzCj7ShCciVvXbYYJPmmhKEC2AkIer1P4nJjk5xw9KOBCnMe5cGgb5sN5zPtOm2HQuyZXAuA==" saltValue="5fEOs3rgdwfCCWAHeRfFo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236024FF52A47BB97DE467CF5A60C" ma:contentTypeVersion="4" ma:contentTypeDescription="Ein neues Dokument erstellen." ma:contentTypeScope="" ma:versionID="00bc54d9ed61f48a12e359b9d120c408">
  <xsd:schema xmlns:xsd="http://www.w3.org/2001/XMLSchema" xmlns:xs="http://www.w3.org/2001/XMLSchema" xmlns:p="http://schemas.microsoft.com/office/2006/metadata/properties" xmlns:ns2="3071c7c7-3015-41fe-8f98-2f2d219e94dc" xmlns:ns3="0f37e22b-3a1d-4146-9da9-fa531dfb1609" targetNamespace="http://schemas.microsoft.com/office/2006/metadata/properties" ma:root="true" ma:fieldsID="123c453d4cb23fabbb856314b32be228" ns2:_="" ns3:_="">
    <xsd:import namespace="3071c7c7-3015-41fe-8f98-2f2d219e94dc"/>
    <xsd:import namespace="0f37e22b-3a1d-4146-9da9-fa531dfb1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1c7c7-3015-41fe-8f98-2f2d219e9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22b-3a1d-4146-9da9-fa531dfb1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745FE-BAC0-4195-A3DE-DBE9449315AE}">
  <ds:schemaRefs>
    <ds:schemaRef ds:uri="http://purl.org/dc/elements/1.1/"/>
    <ds:schemaRef ds:uri="http://schemas.microsoft.com/office/2006/metadata/properties"/>
    <ds:schemaRef ds:uri="http://purl.org/dc/dcmitype/"/>
    <ds:schemaRef ds:uri="5dc67ec5-9933-4f53-8a8d-7b0f86b94e1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653DEF-1FF1-46F7-B302-9CD0C8BB2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71c7c7-3015-41fe-8f98-2f2d219e94dc"/>
    <ds:schemaRef ds:uri="0f37e22b-3a1d-4146-9da9-fa531dfb1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082B3-B001-4D35-88FA-CEEBE2409F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Tourenabrechnung</vt:lpstr>
      <vt:lpstr>Tabelle1</vt:lpstr>
      <vt:lpstr>Tourenabrechnung!Druckbereich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</dc:creator>
  <cp:keywords/>
  <dc:description/>
  <cp:lastModifiedBy>Christoph Schnurr (DAV Sektion Rosenheim)</cp:lastModifiedBy>
  <cp:revision/>
  <cp:lastPrinted>2024-02-01T10:23:15Z</cp:lastPrinted>
  <dcterms:created xsi:type="dcterms:W3CDTF">2013-01-05T12:47:46Z</dcterms:created>
  <dcterms:modified xsi:type="dcterms:W3CDTF">2025-01-15T17:18:21Z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0x010100D2B236024FF52A47BB97DE467CF5A60C</vt:lpwstr>
  </property>
  <property fmtid="{D5CDD505-2E9C-101B-9397-08002B2CF9AE}" pid="3" name="MediaServiceImageTags">
    <vt:lpwstr/>
  </property>
</Properties>
</file>